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<sst xmlns="http://schemas.openxmlformats.org/spreadsheetml/2006/main" count="1600" uniqueCount="315">
  <si>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</si>
  <si>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</si>
  <si>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</si>
  <si>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</si>
  <si>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</si>
  <si>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</si>
  <si>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</si>
  <si>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</si>
  <si>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</si>
  <si>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</si>
  <si>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</si>
  <si>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</si>
  <si>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</si>
  <si>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</si>
  <si>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</si>
  <si>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</si>
  <si>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</si>
  <si>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</si>
  <si>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</si>
  <si>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</si>
  <si>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</si>
  <si>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</si>
  <si>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</si>
  <si>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</si>
  <si>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</si>
  <si>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</si>
  <si>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</si>
  <si>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</si>
  <si>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</si>
  <si>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</si>
  <si>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</si>
  <si>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</si>
  <si>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</si>
  <si>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</si>
  <si>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</si>
  <si>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</si>
  <si>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</si>
  <si>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</si>
  <si>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</si>
  <si>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</si>
  <si>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</si>
  <si>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</si>
  <si>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</si>
  <si>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</si>
  <si>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</si>
  <si>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</si>
  <si>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</si>
  <si>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</si>
  <si>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</si>
  <si>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</si>
  <si>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</si>
  <si>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</si>
  <si>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</si>
  <si>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</si>
  <si>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</si>
  <si>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</si>
  <si>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</si>
  <si>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</si>
  <si>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</si>
  <si>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</si>
  <si>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</si>
  <si>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</si>
  <si>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</si>
  <si>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</si>
  <si>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</si>
  <si>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</si>
  <si>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</si>
  <si>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</si>
  <si>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</si>
  <si>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</si>
  <si>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</si>
  <si>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</si>
  <si>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</si>
  <si>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</si>
  <si>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</si>
  <si>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</si>
  <si>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</si>
  <si>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</si>
  <si>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</si>
  <si>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</si>
  <si>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</si>
  <si>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</si>
  <si>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</si>
  <si>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</si>
  <si>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</si>
  <si>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</si>
  <si>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</si>
  <si>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</si>
  <si>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</si>
  <si>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</si>
  <si>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</si>
  <si>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</si>
  <si>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</si>
  <si>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</si>
  <si>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</si>
  <si>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</si>
  <si>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</si>
  <si>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</si>
  <si>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</si>
  <si>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</si>
  <si>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</si>
  <si>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</si>
  <si>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</si>
  <si>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</si>
  <si>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</si>
  <si>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</si>
  <si>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</si>
  <si>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</si>
  <si>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</si>
  <si>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</si>
  <si>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</si>
  <si>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</si>
  <si>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</si>
  <si>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</si>
  <si>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</si>
  <si>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</si>
  <si>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</si>
  <si>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</si>
  <si>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</si>
  <si>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</si>
  <si>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</si>
  <si>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</si>
  <si>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</si>
  <si>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</si>
  <si>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</si>
  <si>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</si>
  <si>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</si>
  <si>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</si>
  <si>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</si>
  <si>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</si>
  <si>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</si>
  <si>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</si>
  <si>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</si>
  <si>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</si>
  <si>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</si>
  <si>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</si>
  <si>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</si>
  <si>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</si>
  <si>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</si>
  <si>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</si>
  <si>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</si>
  <si>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</si>
  <si>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</si>
  <si>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</si>
  <si>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</si>
  <si>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</si>
  <si>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</si>
  <si>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</si>
  <si>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</si>
  <si>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</si>
  <si>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</si>
  <si>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</si>
  <si>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</si>
  <si>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</si>
  <si>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</si>
  <si>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</si>
  <si>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</si>
  <si>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</si>
  <si>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</si>
  <si>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</si>
  <si>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</si>
  <si>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</si>
  <si>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</si>
  <si>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</si>
  <si>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</si>
  <si>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</si>
  <si>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</si>
  <si>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</si>
  <si>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</si>
  <si>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</si>
  <si>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</si>
  <si>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</si>
  <si>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</si>
  <si>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</si>
  <si>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</si>
  <si>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</si>
  <si>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</si>
  <si>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</si>
  <si>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</si>
  <si>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</si>
  <si>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</si>
  <si>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</si>
  <si>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</si>
  <si>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</si>
  <si>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</si>
  <si>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</si>
  <si>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</si>
  <si>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</si>
  <si>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</si>
  <si>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</si>
  <si>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</si>
  <si>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</si>
  <si>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</si>
  <si>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</si>
  <si>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</si>
  <si>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</si>
  <si>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</si>
  <si>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</si>
  <si>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</si>
  <si>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</si>
  <si>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</si>
  <si>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</si>
  <si>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</si>
  <si>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</si>
  <si>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</si>
  <si>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</si>
  <si>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</si>
  <si>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</si>
  <si>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</si>
  <si>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</si>
  <si>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</si>
  <si>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</si>
  <si>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</si>
  <si>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</si>
  <si>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</si>
  <si>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</si>
  <si>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</si>
  <si>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</si>
  <si>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</si>
  <si>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</si>
  <si>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</si>
  <si>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</si>
  <si>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</si>
  <si>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</si>
  <si>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</si>
  <si>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</si>
  <si>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</si>
  <si>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</si>
  <si>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</si>
  <si>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</si>
  <si>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</si>
  <si>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</si>
  <si>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</si>
  <si>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</si>
  <si>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</si>
  <si>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</si>
  <si>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</si>
  <si>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</si>
  <si>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</si>
  <si>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</si>
  <si>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</si>
  <si>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</si>
  <si>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</si>
  <si>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</si>
  <si>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</si>
  <si>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</si>
  <si>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</si>
  <si>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</si>
  <si>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</si>
  <si>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</si>
  <si>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</si>
  <si>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</si>
  <si>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</si>
  <si>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</si>
  <si>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</si>
  <si>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</si>
  <si>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</si>
  <si>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</si>
  <si>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</si>
  <si>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</si>
  <si>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</si>
  <si>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</si>
  <si>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</si>
  <si>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</si>
  <si>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</si>
  <si>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</si>
  <si>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</si>
  <si>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</si>
  <si>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</si>
  <si>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</si>
  <si>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</si>
  <si>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</si>
  <si>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</si>
  <si>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</si>
  <si>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</si>
  <si>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</si>
  <si>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</si>
  <si>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</si>
  <si>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</si>
  <si>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</si>
  <si>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</si>
  <si>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</si>
  <si>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</si>
  <si>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</si>
  <si>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</si>
  <si>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</si>
  <si>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</si>
  <si>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</si>
  <si>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</si>
  <si>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</si>
  <si>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</si>
  <si>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</si>
  <si>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</si>
  <si>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</si>
  <si>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</si>
  <si>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</si>
  <si>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</si>
  <si>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</si>
  <si>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</si>
  <si>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</si>
  <si>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</si>
  <si>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</si>
  <si>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</si>
  <si>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</si>
  <si>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</si>
  <si>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</si>
  <si>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</si>
  <si>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</si>
  <si>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</si>
  <si>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</si>
  <si>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</si>
  <si>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</si>
  <si>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</si>
  <si>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23.10.15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</si>
  <si>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26.10.2015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</si>
</sst>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9" sqref="I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517900.21</v>
      </c>
      <c r="G8" s="18">
        <f aca="true" t="shared" si="0" ref="G8:G54">F8-E8</f>
        <v>14374.73999999999</v>
      </c>
      <c r="H8" s="45">
        <f>F8/E8*100</f>
        <v>102.85481884362275</v>
      </c>
      <c r="I8" s="31">
        <f aca="true" t="shared" si="1" ref="I8:I54">F8-D8</f>
        <v>-54388.78999999998</v>
      </c>
      <c r="J8" s="31">
        <f aca="true" t="shared" si="2" ref="J8:J14">F8/D8*100</f>
        <v>90.49627198845339</v>
      </c>
      <c r="K8" s="18">
        <f>K9+K15+K18+K19+K20+K32</f>
        <v>116675.368</v>
      </c>
      <c r="L8" s="18"/>
      <c r="M8" s="18">
        <f>M9+M15+M18+M19+M20+M32+M17</f>
        <v>44772.97000000001</v>
      </c>
      <c r="N8" s="18">
        <f>N9+N15+N18+N19+N20+N32+N17</f>
        <v>37020.960000000065</v>
      </c>
      <c r="O8" s="31">
        <f aca="true" t="shared" si="3" ref="O8:O54">N8-M8</f>
        <v>-7752.009999999944</v>
      </c>
      <c r="P8" s="31">
        <f>F8/M8*100</f>
        <v>1156.7251625255146</v>
      </c>
      <c r="Q8" s="31">
        <f>N8-33748.16</f>
        <v>3272.800000000061</v>
      </c>
      <c r="R8" s="125">
        <f>N8/33748.16</f>
        <v>1.0969771389017968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288320.33</v>
      </c>
      <c r="G9" s="43">
        <f t="shared" si="0"/>
        <v>18455.21000000002</v>
      </c>
      <c r="H9" s="35">
        <f aca="true" t="shared" si="4" ref="H9:H32">F9/E9*100</f>
        <v>106.83867926318156</v>
      </c>
      <c r="I9" s="50">
        <f t="shared" si="1"/>
        <v>-24369.669999999984</v>
      </c>
      <c r="J9" s="50">
        <f t="shared" si="2"/>
        <v>92.20644408199816</v>
      </c>
      <c r="K9" s="132">
        <f>F9-316022.19/75*60</f>
        <v>35502.57800000001</v>
      </c>
      <c r="L9" s="132">
        <f>F9/(316022.19/75*60)*100</f>
        <v>114.04275519386789</v>
      </c>
      <c r="M9" s="35">
        <f>E9-вересень!E9</f>
        <v>21250.570000000007</v>
      </c>
      <c r="N9" s="35">
        <f>F9-вересень!F9</f>
        <v>23944.920000000042</v>
      </c>
      <c r="O9" s="47">
        <f t="shared" si="3"/>
        <v>2694.350000000035</v>
      </c>
      <c r="P9" s="50">
        <f aca="true" t="shared" si="5" ref="P9:P32">N9/M9*100</f>
        <v>112.67895402335107</v>
      </c>
      <c r="Q9" s="132">
        <f>N9-26568.11</f>
        <v>-2623.1899999999587</v>
      </c>
      <c r="R9" s="133">
        <f>N9/26568.11</f>
        <v>0.9012654644986053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254977.48</v>
      </c>
      <c r="G10" s="135">
        <f t="shared" si="0"/>
        <v>19016.660000000003</v>
      </c>
      <c r="H10" s="137">
        <f t="shared" si="4"/>
        <v>108.05924475088705</v>
      </c>
      <c r="I10" s="136">
        <f t="shared" si="1"/>
        <v>14567.48000000001</v>
      </c>
      <c r="J10" s="136">
        <f t="shared" si="2"/>
        <v>106.0594318040015</v>
      </c>
      <c r="K10" s="138">
        <f>F10-281171.58/75*60</f>
        <v>30040.216000000015</v>
      </c>
      <c r="L10" s="138">
        <f>F10/(281171.58/75*60)*100</f>
        <v>113.35493082195576</v>
      </c>
      <c r="M10" s="137">
        <f>E10-вересень!E10</f>
        <v>17470.570000000007</v>
      </c>
      <c r="N10" s="137">
        <f>F10-вересень!F10</f>
        <v>21041</v>
      </c>
      <c r="O10" s="138">
        <f t="shared" si="3"/>
        <v>3570.429999999993</v>
      </c>
      <c r="P10" s="136">
        <f t="shared" si="5"/>
        <v>120.43682604517191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15651.08</v>
      </c>
      <c r="G11" s="135">
        <f t="shared" si="0"/>
        <v>-3266.8200000000015</v>
      </c>
      <c r="H11" s="137">
        <f t="shared" si="4"/>
        <v>82.731592830071</v>
      </c>
      <c r="I11" s="136">
        <f t="shared" si="1"/>
        <v>-8048.92</v>
      </c>
      <c r="J11" s="136">
        <f t="shared" si="2"/>
        <v>66.03831223628693</v>
      </c>
      <c r="K11" s="138">
        <f>F11-21169.22/75*60</f>
        <v>-1284.296000000004</v>
      </c>
      <c r="L11" s="138">
        <f>F11/(21169.22/75*60)*100</f>
        <v>92.41648960141184</v>
      </c>
      <c r="M11" s="137">
        <f>E11-вересень!E11</f>
        <v>2130</v>
      </c>
      <c r="N11" s="137">
        <f>F11-вересень!F11</f>
        <v>1648.3899999999994</v>
      </c>
      <c r="O11" s="138">
        <f t="shared" si="3"/>
        <v>-481.6100000000006</v>
      </c>
      <c r="P11" s="136">
        <f t="shared" si="5"/>
        <v>77.38920187793424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4139.93</v>
      </c>
      <c r="G12" s="135">
        <f t="shared" si="0"/>
        <v>-309.0699999999997</v>
      </c>
      <c r="H12" s="137">
        <f t="shared" si="4"/>
        <v>93.05304562823108</v>
      </c>
      <c r="I12" s="136">
        <f t="shared" si="1"/>
        <v>-1660.0699999999997</v>
      </c>
      <c r="J12" s="136">
        <f t="shared" si="2"/>
        <v>71.37810344827587</v>
      </c>
      <c r="K12" s="138">
        <f>F12-5687.46/75*60</f>
        <v>-410.03800000000047</v>
      </c>
      <c r="L12" s="138">
        <f>F12/(5687.46*60)*100</f>
        <v>1.2131748325849032</v>
      </c>
      <c r="M12" s="137">
        <f>E12-вересень!E12</f>
        <v>540</v>
      </c>
      <c r="N12" s="137">
        <f>F12-вересень!F12</f>
        <v>395.2900000000004</v>
      </c>
      <c r="O12" s="138">
        <f t="shared" si="3"/>
        <v>-144.70999999999958</v>
      </c>
      <c r="P12" s="136">
        <f t="shared" si="5"/>
        <v>73.20185185185193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5988.87</v>
      </c>
      <c r="G13" s="135">
        <f t="shared" si="0"/>
        <v>-954.5299999999997</v>
      </c>
      <c r="H13" s="137">
        <f t="shared" si="4"/>
        <v>86.25270040614109</v>
      </c>
      <c r="I13" s="136">
        <f t="shared" si="1"/>
        <v>-2411.13</v>
      </c>
      <c r="J13" s="136">
        <f t="shared" si="2"/>
        <v>71.29607142857142</v>
      </c>
      <c r="K13" s="138">
        <f>F13-7878.81/75*60</f>
        <v>-314.1780000000008</v>
      </c>
      <c r="L13" s="138">
        <f>F13/(7878.81/75*60)*100</f>
        <v>95.01545918736458</v>
      </c>
      <c r="M13" s="137">
        <f>E13-вересень!E13</f>
        <v>720</v>
      </c>
      <c r="N13" s="137">
        <f>F13-вересень!F13</f>
        <v>258.6300000000001</v>
      </c>
      <c r="O13" s="138">
        <f t="shared" si="3"/>
        <v>-461.3699999999999</v>
      </c>
      <c r="P13" s="136">
        <f t="shared" si="5"/>
        <v>35.92083333333335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-606.6</v>
      </c>
      <c r="G15" s="43">
        <f t="shared" si="0"/>
        <v>-778</v>
      </c>
      <c r="H15" s="35"/>
      <c r="I15" s="50">
        <f t="shared" si="1"/>
        <v>-606.6</v>
      </c>
      <c r="J15" s="50" t="e">
        <f>F15/D15*100</f>
        <v>#DIV/0!</v>
      </c>
      <c r="K15" s="53">
        <f>F15-(-880.89)</f>
        <v>274.28999999999996</v>
      </c>
      <c r="L15" s="53">
        <f>F15/(-880.89)*100</f>
        <v>68.86217348363587</v>
      </c>
      <c r="M15" s="35">
        <f>E15-вересень!E15</f>
        <v>0</v>
      </c>
      <c r="N15" s="35">
        <f>F15-вересень!F15</f>
        <v>60.09000000000003</v>
      </c>
      <c r="O15" s="47">
        <f t="shared" si="3"/>
        <v>60.09000000000003</v>
      </c>
      <c r="P15" s="50"/>
      <c r="Q15" s="50">
        <f>N15-358.81</f>
        <v>-298.71999999999997</v>
      </c>
      <c r="R15" s="126">
        <f>N15/358.81</f>
        <v>0.16747024887823647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52182.95</v>
      </c>
      <c r="G19" s="43">
        <f t="shared" si="0"/>
        <v>-5339.800000000003</v>
      </c>
      <c r="H19" s="35">
        <f t="shared" si="4"/>
        <v>90.71706411810979</v>
      </c>
      <c r="I19" s="50">
        <f t="shared" si="1"/>
        <v>-10027.050000000003</v>
      </c>
      <c r="J19" s="178">
        <f>F19/D19*100</f>
        <v>83.88193216524674</v>
      </c>
      <c r="K19" s="179">
        <f>F19-0</f>
        <v>52182.95</v>
      </c>
      <c r="L19" s="180"/>
      <c r="M19" s="35">
        <f>E19-вересень!E19</f>
        <v>6800</v>
      </c>
      <c r="N19" s="35">
        <f>F19-вересень!F19</f>
        <v>714.0799999999945</v>
      </c>
      <c r="O19" s="47">
        <f t="shared" si="3"/>
        <v>-6085.9200000000055</v>
      </c>
      <c r="P19" s="50">
        <f t="shared" si="5"/>
        <v>10.501176470588154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172401.18000000002</v>
      </c>
      <c r="G20" s="43">
        <f t="shared" si="0"/>
        <v>2207.280000000028</v>
      </c>
      <c r="H20" s="35">
        <f t="shared" si="4"/>
        <v>101.29692074745336</v>
      </c>
      <c r="I20" s="50">
        <f t="shared" si="1"/>
        <v>-17468.819999999978</v>
      </c>
      <c r="J20" s="178">
        <f aca="true" t="shared" si="6" ref="J20:J46">F20/D20*100</f>
        <v>90.79958919260548</v>
      </c>
      <c r="K20" s="178">
        <f>K21+K25+K26+K27</f>
        <v>30495.610000000008</v>
      </c>
      <c r="L20" s="136"/>
      <c r="M20" s="35">
        <f>E20-вересень!E20</f>
        <v>16715.5</v>
      </c>
      <c r="N20" s="35">
        <f>F20-вересень!F20</f>
        <v>12294.590000000026</v>
      </c>
      <c r="O20" s="47">
        <f t="shared" si="3"/>
        <v>-4420.909999999974</v>
      </c>
      <c r="P20" s="50">
        <f t="shared" si="5"/>
        <v>73.55203254464435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93226.15000000001</v>
      </c>
      <c r="G21" s="43">
        <f t="shared" si="0"/>
        <v>-3056.2499999999854</v>
      </c>
      <c r="H21" s="35">
        <f t="shared" si="4"/>
        <v>96.82574385349764</v>
      </c>
      <c r="I21" s="50">
        <f t="shared" si="1"/>
        <v>-17073.84999999999</v>
      </c>
      <c r="J21" s="178">
        <f t="shared" si="6"/>
        <v>84.52053490480509</v>
      </c>
      <c r="K21" s="178">
        <f>K22+K23+K24</f>
        <v>24522.310000000005</v>
      </c>
      <c r="L21" s="136"/>
      <c r="M21" s="35">
        <f>E21-вересень!E21</f>
        <v>10382</v>
      </c>
      <c r="N21" s="35">
        <f>F21-вересень!F21</f>
        <v>4246.830000000016</v>
      </c>
      <c r="O21" s="47">
        <f t="shared" si="3"/>
        <v>-6135.169999999984</v>
      </c>
      <c r="P21" s="50">
        <f t="shared" si="5"/>
        <v>40.90570217684469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10442.86</v>
      </c>
      <c r="G22" s="135">
        <f t="shared" si="0"/>
        <v>-202.53999999999905</v>
      </c>
      <c r="H22" s="137">
        <f t="shared" si="4"/>
        <v>98.09739417964568</v>
      </c>
      <c r="I22" s="136">
        <f t="shared" si="1"/>
        <v>-257.1399999999994</v>
      </c>
      <c r="J22" s="136">
        <f t="shared" si="6"/>
        <v>97.59682242990655</v>
      </c>
      <c r="K22" s="136">
        <f>F22-437</f>
        <v>10005.86</v>
      </c>
      <c r="L22" s="136">
        <f>F22/437*100</f>
        <v>2389.670480549199</v>
      </c>
      <c r="M22" s="137">
        <f>E22-вересень!E22</f>
        <v>1851</v>
      </c>
      <c r="N22" s="137">
        <f>F22-вересень!F22</f>
        <v>1311.1800000000003</v>
      </c>
      <c r="O22" s="138">
        <f t="shared" si="3"/>
        <v>-539.8199999999997</v>
      </c>
      <c r="P22" s="136">
        <f t="shared" si="5"/>
        <v>70.83630470016209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3426.99</v>
      </c>
      <c r="G23" s="135">
        <f t="shared" si="0"/>
        <v>1334.9899999999998</v>
      </c>
      <c r="H23" s="137">
        <f t="shared" si="4"/>
        <v>163.81405353728488</v>
      </c>
      <c r="I23" s="136">
        <f t="shared" si="1"/>
        <v>1326.9899999999998</v>
      </c>
      <c r="J23" s="136">
        <f t="shared" si="6"/>
        <v>163.19</v>
      </c>
      <c r="K23" s="136">
        <f>F23-0</f>
        <v>3426.99</v>
      </c>
      <c r="L23" s="136"/>
      <c r="M23" s="137">
        <f>E23-вересень!E23</f>
        <v>305</v>
      </c>
      <c r="N23" s="137">
        <f>F23-вересень!F23</f>
        <v>93.35999999999967</v>
      </c>
      <c r="O23" s="138">
        <f t="shared" si="3"/>
        <v>-211.64000000000033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79356.3</v>
      </c>
      <c r="G24" s="135">
        <f t="shared" si="0"/>
        <v>-4188.699999999997</v>
      </c>
      <c r="H24" s="137">
        <f t="shared" si="4"/>
        <v>94.9862948111796</v>
      </c>
      <c r="I24" s="136">
        <f t="shared" si="1"/>
        <v>-18143.699999999997</v>
      </c>
      <c r="J24" s="136">
        <f t="shared" si="6"/>
        <v>81.39107692307692</v>
      </c>
      <c r="K24" s="224">
        <f>F24-68266.84</f>
        <v>11089.460000000006</v>
      </c>
      <c r="L24" s="224">
        <f>F24/68266.84*100</f>
        <v>116.24428492662031</v>
      </c>
      <c r="M24" s="137">
        <f>E24-вересень!E24</f>
        <v>8226</v>
      </c>
      <c r="N24" s="137">
        <f>F24-вересень!F24</f>
        <v>2842.290000000008</v>
      </c>
      <c r="O24" s="138">
        <f t="shared" si="3"/>
        <v>-5383.709999999992</v>
      </c>
      <c r="P24" s="136">
        <f t="shared" si="5"/>
        <v>34.552516411378654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56.36</v>
      </c>
      <c r="G25" s="43">
        <f t="shared" si="0"/>
        <v>4.859999999999999</v>
      </c>
      <c r="H25" s="35">
        <f t="shared" si="4"/>
        <v>109.4368932038835</v>
      </c>
      <c r="I25" s="50">
        <f t="shared" si="1"/>
        <v>-13.64</v>
      </c>
      <c r="J25" s="178">
        <f t="shared" si="6"/>
        <v>80.51428571428572</v>
      </c>
      <c r="K25" s="178">
        <f>F25-48.79</f>
        <v>7.57</v>
      </c>
      <c r="L25" s="178">
        <f>F25/48.79*100</f>
        <v>115.51547448247592</v>
      </c>
      <c r="M25" s="35">
        <f>E25-вересень!E25</f>
        <v>10</v>
      </c>
      <c r="N25" s="35">
        <f>F25-вересень!F25</f>
        <v>0.509999999999998</v>
      </c>
      <c r="O25" s="47">
        <f t="shared" si="3"/>
        <v>-9.490000000000002</v>
      </c>
      <c r="P25" s="50">
        <f t="shared" si="5"/>
        <v>5.09999999999998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-738.02</v>
      </c>
      <c r="G26" s="43">
        <f t="shared" si="0"/>
        <v>-738.02</v>
      </c>
      <c r="H26" s="35"/>
      <c r="I26" s="50">
        <f t="shared" si="1"/>
        <v>-738.02</v>
      </c>
      <c r="J26" s="136"/>
      <c r="K26" s="178">
        <f>F26-5295.66</f>
        <v>-6033.68</v>
      </c>
      <c r="L26" s="178">
        <f>F26/5295.66*100</f>
        <v>-13.936317663898363</v>
      </c>
      <c r="M26" s="35">
        <f>E26-вересень!E26</f>
        <v>0</v>
      </c>
      <c r="N26" s="35">
        <f>F26-вересень!F26</f>
        <v>-32.039999999999964</v>
      </c>
      <c r="O26" s="47">
        <f t="shared" si="3"/>
        <v>-32.039999999999964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79856.69</v>
      </c>
      <c r="G27" s="43">
        <f t="shared" si="0"/>
        <v>5996.690000000002</v>
      </c>
      <c r="H27" s="35">
        <f t="shared" si="4"/>
        <v>108.11899539669645</v>
      </c>
      <c r="I27" s="50">
        <f t="shared" si="1"/>
        <v>356.6900000000023</v>
      </c>
      <c r="J27" s="178">
        <f t="shared" si="6"/>
        <v>100.44866666666667</v>
      </c>
      <c r="K27" s="132">
        <f>F27-67857.28</f>
        <v>11999.410000000003</v>
      </c>
      <c r="L27" s="132">
        <f>F27/67857.28*100</f>
        <v>117.68330531374085</v>
      </c>
      <c r="M27" s="35">
        <f>E27-вересень!E27</f>
        <v>6323.5</v>
      </c>
      <c r="N27" s="35">
        <f>F27-вересень!F27</f>
        <v>8079.290000000008</v>
      </c>
      <c r="O27" s="47">
        <f t="shared" si="3"/>
        <v>1755.7900000000081</v>
      </c>
      <c r="P27" s="50">
        <f t="shared" si="5"/>
        <v>127.76611054004916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18926.31</v>
      </c>
      <c r="G29" s="135">
        <f t="shared" si="0"/>
        <v>846.3100000000013</v>
      </c>
      <c r="H29" s="137">
        <f t="shared" si="4"/>
        <v>104.68091814159293</v>
      </c>
      <c r="I29" s="136">
        <f t="shared" si="1"/>
        <v>-273.6899999999987</v>
      </c>
      <c r="J29" s="136">
        <f t="shared" si="6"/>
        <v>98.57453125</v>
      </c>
      <c r="K29" s="139">
        <f>F29-18415.97</f>
        <v>510.34000000000015</v>
      </c>
      <c r="L29" s="139">
        <f>F29/18415.97*100</f>
        <v>102.77118175149069</v>
      </c>
      <c r="M29" s="137">
        <f>E29-вересень!E29</f>
        <v>1300</v>
      </c>
      <c r="N29" s="137">
        <f>F29-вересень!F29</f>
        <v>1186.550000000003</v>
      </c>
      <c r="O29" s="138">
        <f t="shared" si="3"/>
        <v>-113.44999999999709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60908.69</v>
      </c>
      <c r="G30" s="135">
        <f t="shared" si="0"/>
        <v>5128.690000000002</v>
      </c>
      <c r="H30" s="137">
        <f t="shared" si="4"/>
        <v>109.19449623520975</v>
      </c>
      <c r="I30" s="136">
        <f t="shared" si="1"/>
        <v>608.6900000000023</v>
      </c>
      <c r="J30" s="136">
        <f t="shared" si="6"/>
        <v>101.00943615257047</v>
      </c>
      <c r="K30" s="139">
        <f>F30-49440.11</f>
        <v>11468.580000000002</v>
      </c>
      <c r="L30" s="139">
        <f>F30/49440.11*100</f>
        <v>123.1969144081597</v>
      </c>
      <c r="M30" s="137">
        <f>E30-вересень!E30</f>
        <v>5023.5</v>
      </c>
      <c r="N30" s="137">
        <f>F30-вересень!F30</f>
        <v>6892.720000000001</v>
      </c>
      <c r="O30" s="138">
        <f t="shared" si="3"/>
        <v>1869.2200000000012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22.86</v>
      </c>
      <c r="G31" s="135">
        <f t="shared" si="0"/>
        <v>22.86</v>
      </c>
      <c r="H31" s="137"/>
      <c r="I31" s="136">
        <f t="shared" si="1"/>
        <v>22.86</v>
      </c>
      <c r="J31" s="136"/>
      <c r="K31" s="139">
        <f>F31-0</f>
        <v>22.86</v>
      </c>
      <c r="L31" s="139"/>
      <c r="M31" s="137">
        <f>E31-вересень!E31</f>
        <v>0</v>
      </c>
      <c r="N31" s="137">
        <f>F31-вересень!F31</f>
        <v>0.019999999999999574</v>
      </c>
      <c r="O31" s="138">
        <f t="shared" si="3"/>
        <v>0.019999999999999574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5586.41</v>
      </c>
      <c r="G32" s="43">
        <f t="shared" si="0"/>
        <v>-172.89000000000033</v>
      </c>
      <c r="H32" s="35">
        <f t="shared" si="4"/>
        <v>96.99807268244403</v>
      </c>
      <c r="I32" s="50">
        <f t="shared" si="1"/>
        <v>-1913.5900000000001</v>
      </c>
      <c r="J32" s="178">
        <f t="shared" si="6"/>
        <v>74.48546666666667</v>
      </c>
      <c r="K32" s="178">
        <f>F32-7378.96</f>
        <v>-1792.5500000000002</v>
      </c>
      <c r="L32" s="178">
        <f>F32/7378.96*100</f>
        <v>75.70728124288517</v>
      </c>
      <c r="M32" s="35">
        <f>E32-вересень!E32</f>
        <v>6.900000000000546</v>
      </c>
      <c r="N32" s="35">
        <f>F32-вересень!F32</f>
        <v>7.229999999999563</v>
      </c>
      <c r="O32" s="47">
        <f t="shared" si="3"/>
        <v>0.32999999999901775</v>
      </c>
      <c r="P32" s="50">
        <f t="shared" si="5"/>
        <v>104.78260869563756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34711.17999999999</v>
      </c>
      <c r="G33" s="44">
        <f t="shared" si="0"/>
        <v>2160.9099999999926</v>
      </c>
      <c r="H33" s="45">
        <f aca="true" t="shared" si="7" ref="H33:H38">F33/E33*100</f>
        <v>106.6386853319496</v>
      </c>
      <c r="I33" s="31">
        <f t="shared" si="1"/>
        <v>-928.3900000000067</v>
      </c>
      <c r="J33" s="31">
        <f t="shared" si="6"/>
        <v>97.39505835788701</v>
      </c>
      <c r="K33" s="18">
        <f>K34+K35+K36+K37+K38+K41+K42+K47+K48+K52+K40</f>
        <v>23927.010000000002</v>
      </c>
      <c r="L33" s="18"/>
      <c r="M33" s="18">
        <f>M34+M35+M36+M37+M38+M41+M42+M47+M48+M52+M40+M39</f>
        <v>5900.27</v>
      </c>
      <c r="N33" s="18">
        <f>N34+N35+N36+N37+N38+N41+N42+N47+N48+N52+N40+N39</f>
        <v>6466.549999999999</v>
      </c>
      <c r="O33" s="49">
        <f t="shared" si="3"/>
        <v>566.2799999999988</v>
      </c>
      <c r="P33" s="31">
        <f>N33/M33*100</f>
        <v>109.59752689283708</v>
      </c>
      <c r="Q33" s="31">
        <f>N33-1017.63</f>
        <v>5448.919999999999</v>
      </c>
      <c r="R33" s="127">
        <f>N33/1017.63</f>
        <v>6.354519815650089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254.8</v>
      </c>
      <c r="G38" s="43">
        <f t="shared" si="0"/>
        <v>134.8</v>
      </c>
      <c r="H38" s="35">
        <f t="shared" si="7"/>
        <v>212.33333333333334</v>
      </c>
      <c r="I38" s="50">
        <f t="shared" si="1"/>
        <v>114.80000000000001</v>
      </c>
      <c r="J38" s="50">
        <f t="shared" si="6"/>
        <v>182</v>
      </c>
      <c r="K38" s="50">
        <f>F38-112.45</f>
        <v>142.35000000000002</v>
      </c>
      <c r="L38" s="50">
        <f>F38/112.45*100</f>
        <v>226.58959537572255</v>
      </c>
      <c r="M38" s="35">
        <f>E38-вересень!E38</f>
        <v>15</v>
      </c>
      <c r="N38" s="35">
        <f>F38-вересень!F38</f>
        <v>137.69</v>
      </c>
      <c r="O38" s="47">
        <f t="shared" si="3"/>
        <v>122.69</v>
      </c>
      <c r="P38" s="50">
        <f>N38/M38*100</f>
        <v>917.9333333333334</v>
      </c>
      <c r="Q38" s="50">
        <f>N38-9.02</f>
        <v>128.67</v>
      </c>
      <c r="R38" s="126">
        <f>N38/9.02</f>
        <v>15.264966740576497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8212.12</v>
      </c>
      <c r="G40" s="43">
        <f t="shared" si="0"/>
        <v>-624.8799999999992</v>
      </c>
      <c r="H40" s="35">
        <f aca="true" t="shared" si="8" ref="H40:H46">F40/E40*100</f>
        <v>92.92882199841576</v>
      </c>
      <c r="I40" s="50">
        <f t="shared" si="1"/>
        <v>-787.8799999999992</v>
      </c>
      <c r="J40" s="50"/>
      <c r="K40" s="50">
        <f>F40-0</f>
        <v>8212.12</v>
      </c>
      <c r="L40" s="50"/>
      <c r="M40" s="35">
        <f>E40-вересень!E40</f>
        <v>900</v>
      </c>
      <c r="N40" s="35">
        <f>F40-вересень!F40</f>
        <v>606.6600000000008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6070.28</v>
      </c>
      <c r="G42" s="43">
        <f t="shared" si="0"/>
        <v>-321.02000000000044</v>
      </c>
      <c r="H42" s="35">
        <f t="shared" si="8"/>
        <v>94.97723467839093</v>
      </c>
      <c r="I42" s="50">
        <f t="shared" si="1"/>
        <v>-1029.7200000000003</v>
      </c>
      <c r="J42" s="50">
        <f t="shared" si="6"/>
        <v>85.4969014084507</v>
      </c>
      <c r="K42" s="50">
        <f>F42-865.17</f>
        <v>5205.11</v>
      </c>
      <c r="L42" s="50">
        <f>F42/865.17*100</f>
        <v>701.628581666031</v>
      </c>
      <c r="M42" s="35">
        <f>E42-вересень!E42</f>
        <v>592.3000000000002</v>
      </c>
      <c r="N42" s="35">
        <f>F42-вересень!F42</f>
        <v>348.3299999999999</v>
      </c>
      <c r="O42" s="47">
        <f t="shared" si="3"/>
        <v>-243.97000000000025</v>
      </c>
      <c r="P42" s="50">
        <f>N42/M42*100</f>
        <v>58.80972480162077</v>
      </c>
      <c r="Q42" s="50">
        <f>N42-79.51</f>
        <v>268.81999999999994</v>
      </c>
      <c r="R42" s="126">
        <f>N42/79.51</f>
        <v>4.380958370016349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856.35</v>
      </c>
      <c r="G43" s="135">
        <f t="shared" si="0"/>
        <v>-53.64999999999998</v>
      </c>
      <c r="H43" s="35">
        <f t="shared" si="8"/>
        <v>94.1043956043956</v>
      </c>
      <c r="I43" s="136">
        <f t="shared" si="1"/>
        <v>-243.64999999999998</v>
      </c>
      <c r="J43" s="136">
        <f t="shared" si="6"/>
        <v>77.85</v>
      </c>
      <c r="K43" s="136">
        <f>F43-757.36</f>
        <v>98.99000000000001</v>
      </c>
      <c r="L43" s="136">
        <f>F43/757.36*100</f>
        <v>113.07040245061795</v>
      </c>
      <c r="M43" s="137">
        <f>E43-вересень!E43</f>
        <v>70</v>
      </c>
      <c r="N43" s="137">
        <f>F43-вересень!F43</f>
        <v>54.50999999999999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5169.11</v>
      </c>
      <c r="G46" s="135">
        <f t="shared" si="0"/>
        <v>-240.89000000000033</v>
      </c>
      <c r="H46" s="35">
        <f t="shared" si="8"/>
        <v>95.54731977818854</v>
      </c>
      <c r="I46" s="136">
        <f t="shared" si="1"/>
        <v>-748.8900000000003</v>
      </c>
      <c r="J46" s="136">
        <f t="shared" si="6"/>
        <v>87.34555593105779</v>
      </c>
      <c r="K46" s="136">
        <f>F46-107.81</f>
        <v>5061.299999999999</v>
      </c>
      <c r="L46" s="136">
        <f>F46/107.81*100</f>
        <v>4794.647991837492</v>
      </c>
      <c r="M46" s="137">
        <f>E46-вересень!E46</f>
        <v>512</v>
      </c>
      <c r="N46" s="137">
        <f>F46-вересень!F46</f>
        <v>293.8199999999997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3949.37</v>
      </c>
      <c r="G48" s="43">
        <f t="shared" si="0"/>
        <v>499.3699999999999</v>
      </c>
      <c r="H48" s="35">
        <f>F48/E48*100</f>
        <v>114.47449275362318</v>
      </c>
      <c r="I48" s="50">
        <f t="shared" si="1"/>
        <v>-250.6300000000001</v>
      </c>
      <c r="J48" s="50">
        <f>F48/D48*100</f>
        <v>94.03261904761905</v>
      </c>
      <c r="K48" s="50">
        <f>F48-3446.94</f>
        <v>502.42999999999984</v>
      </c>
      <c r="L48" s="50">
        <f>F48/3446.94*100</f>
        <v>114.57611678764353</v>
      </c>
      <c r="M48" s="35">
        <f>E48-вересень!E48</f>
        <v>360</v>
      </c>
      <c r="N48" s="35">
        <f>F48-вересень!F48</f>
        <v>377.9200000000001</v>
      </c>
      <c r="O48" s="47">
        <f t="shared" si="3"/>
        <v>17.920000000000073</v>
      </c>
      <c r="P48" s="50">
        <f aca="true" t="shared" si="9" ref="P48:P53">N48/M48*100</f>
        <v>104.97777777777779</v>
      </c>
      <c r="Q48" s="50">
        <f>N48-277.38</f>
        <v>100.54000000000008</v>
      </c>
      <c r="R48" s="126">
        <f>N48/277.38</f>
        <v>1.3624630470834238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1039.4</v>
      </c>
      <c r="G51" s="135">
        <f t="shared" si="0"/>
        <v>1039.4</v>
      </c>
      <c r="H51" s="137"/>
      <c r="I51" s="136">
        <f t="shared" si="1"/>
        <v>1039.4</v>
      </c>
      <c r="J51" s="136"/>
      <c r="K51" s="219">
        <f>F51-838.39</f>
        <v>201.0100000000001</v>
      </c>
      <c r="L51" s="219">
        <f>F51/838.39*100</f>
        <v>123.97571535920038</v>
      </c>
      <c r="M51" s="35">
        <f>E51-вересень!E51</f>
        <v>0</v>
      </c>
      <c r="N51" s="35">
        <f>F51-вересень!F51</f>
        <v>60.200000000000045</v>
      </c>
      <c r="O51" s="138">
        <f t="shared" si="3"/>
        <v>60.200000000000045</v>
      </c>
      <c r="P51" s="136"/>
      <c r="Q51" s="50">
        <f>N51-64.93</f>
        <v>-4.729999999999961</v>
      </c>
      <c r="R51" s="126">
        <f>N51/64.93</f>
        <v>0.9271523178807953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552630.1200000001</v>
      </c>
      <c r="G55" s="44">
        <f>F55-E55</f>
        <v>16532.780000000144</v>
      </c>
      <c r="H55" s="45">
        <f>F55/E55*100</f>
        <v>103.0839138280373</v>
      </c>
      <c r="I55" s="31">
        <f>F55-D55</f>
        <v>-55324.94999999984</v>
      </c>
      <c r="J55" s="31">
        <f>F55/D55*100</f>
        <v>90.89982916007267</v>
      </c>
      <c r="K55" s="31">
        <f>K8+K33+K53+K54</f>
        <v>140599.028</v>
      </c>
      <c r="L55" s="31">
        <f>F55/(F55-K55)*100</f>
        <v>134.1234025125463</v>
      </c>
      <c r="M55" s="18">
        <f>M8+M33+M53+M54</f>
        <v>50675.44</v>
      </c>
      <c r="N55" s="18">
        <f>N8+N33+N53+N54</f>
        <v>43491.51000000007</v>
      </c>
      <c r="O55" s="49">
        <f>N55-M55</f>
        <v>-7183.929999999935</v>
      </c>
      <c r="P55" s="31">
        <f>N55/M55*100</f>
        <v>85.82364553716764</v>
      </c>
      <c r="Q55" s="31">
        <f>N55-34768</f>
        <v>8723.510000000068</v>
      </c>
      <c r="R55" s="171">
        <f>N55/34768</f>
        <v>1.250906293143122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7124.78</v>
      </c>
      <c r="G65" s="43">
        <f t="shared" si="10"/>
        <v>388.8000000000002</v>
      </c>
      <c r="H65" s="35">
        <f>F65/E65*100</f>
        <v>105.77198863417053</v>
      </c>
      <c r="I65" s="53">
        <f t="shared" si="11"/>
        <v>-4451.22</v>
      </c>
      <c r="J65" s="53">
        <f t="shared" si="13"/>
        <v>61.54785763648929</v>
      </c>
      <c r="K65" s="53">
        <f>F65-2762.1</f>
        <v>4362.68</v>
      </c>
      <c r="L65" s="53">
        <f>F65/2762.1*100</f>
        <v>257.94793816299193</v>
      </c>
      <c r="M65" s="35">
        <f>E65-вересень!E65</f>
        <v>1273.8199999999997</v>
      </c>
      <c r="N65" s="35">
        <f>F65-вересень!F65</f>
        <v>3137.1499999999996</v>
      </c>
      <c r="O65" s="47">
        <f t="shared" si="12"/>
        <v>1863.33</v>
      </c>
      <c r="P65" s="53">
        <f>N65/M65*100</f>
        <v>246.27890910803728</v>
      </c>
      <c r="Q65" s="53">
        <f>N65-450.01</f>
        <v>2687.1399999999994</v>
      </c>
      <c r="R65" s="129">
        <f>N65/450.01</f>
        <v>6.971289526899402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9597.41</v>
      </c>
      <c r="G67" s="55">
        <f t="shared" si="10"/>
        <v>-71.46999999999935</v>
      </c>
      <c r="H67" s="65">
        <f>F67/E67*100</f>
        <v>99.26082441813323</v>
      </c>
      <c r="I67" s="54">
        <f t="shared" si="11"/>
        <v>-7478.59</v>
      </c>
      <c r="J67" s="54">
        <f t="shared" si="13"/>
        <v>56.204087608339194</v>
      </c>
      <c r="K67" s="54">
        <f>K64+K65+K66</f>
        <v>3946.5000000000005</v>
      </c>
      <c r="L67" s="54"/>
      <c r="M67" s="55">
        <f>M64+M65+M66</f>
        <v>1421.9199999999998</v>
      </c>
      <c r="N67" s="55">
        <f>N64+N65+N66</f>
        <v>3157.6</v>
      </c>
      <c r="O67" s="54">
        <f t="shared" si="12"/>
        <v>1735.68</v>
      </c>
      <c r="P67" s="54">
        <f>N67/M67*100</f>
        <v>222.06593901204008</v>
      </c>
      <c r="Q67" s="54">
        <f>N67-7985.28</f>
        <v>-4827.68</v>
      </c>
      <c r="R67" s="173">
        <f>N67/7985.28</f>
        <v>0.39542758675963774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1.02</v>
      </c>
      <c r="G70" s="43">
        <f>F70-E70</f>
        <v>1.02</v>
      </c>
      <c r="H70" s="35"/>
      <c r="I70" s="53">
        <f>F70-D70</f>
        <v>1.02</v>
      </c>
      <c r="J70" s="53"/>
      <c r="K70" s="53">
        <f>F70-1.29</f>
        <v>-0.27</v>
      </c>
      <c r="L70" s="53">
        <f>F70/1.29*100</f>
        <v>79.06976744186046</v>
      </c>
      <c r="M70" s="35">
        <f>E70-вересень!E70</f>
        <v>0</v>
      </c>
      <c r="N70" s="35">
        <f>F70-вересень!F70</f>
        <v>0.020000000000000018</v>
      </c>
      <c r="O70" s="47">
        <f>N70-M70</f>
        <v>0.020000000000000018</v>
      </c>
      <c r="P70" s="53"/>
      <c r="Q70" s="53">
        <f>N70-(-0.21)</f>
        <v>0.23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1.37</v>
      </c>
      <c r="G71" s="55">
        <f>F71-E71</f>
        <v>-47.63</v>
      </c>
      <c r="H71" s="65">
        <f>F71/E71*100</f>
        <v>2.795918367346939</v>
      </c>
      <c r="I71" s="54">
        <f>F71-D71</f>
        <v>-52.63</v>
      </c>
      <c r="J71" s="54">
        <f>F71/D71*100</f>
        <v>2.537037037037037</v>
      </c>
      <c r="K71" s="54">
        <f>K68+K69+K70</f>
        <v>-54.410000000000004</v>
      </c>
      <c r="L71" s="54"/>
      <c r="M71" s="55">
        <f>M68+M70+M69</f>
        <v>12</v>
      </c>
      <c r="N71" s="55">
        <f>N68+N70+N69</f>
        <v>0.020000000000000018</v>
      </c>
      <c r="O71" s="54">
        <f>N71-M71</f>
        <v>-11.98</v>
      </c>
      <c r="P71" s="54"/>
      <c r="Q71" s="54">
        <f>N71-26.38</f>
        <v>-26.36</v>
      </c>
      <c r="R71" s="128">
        <f>N71/26.38</f>
        <v>0.0007581501137225178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9573.890000000001</v>
      </c>
      <c r="G74" s="44">
        <f>F74-E74</f>
        <v>-177.40999999999804</v>
      </c>
      <c r="H74" s="45">
        <f>F74/E74*100</f>
        <v>98.18065283603214</v>
      </c>
      <c r="I74" s="31">
        <f>F74-D74</f>
        <v>-7598.109999999999</v>
      </c>
      <c r="J74" s="31">
        <f>F74/D74*100</f>
        <v>55.7529117167482</v>
      </c>
      <c r="K74" s="31">
        <f>K62+K67+K71+K72</f>
        <v>3570.7200000000007</v>
      </c>
      <c r="L74" s="31"/>
      <c r="M74" s="27">
        <f>M62+M72+M67+M71</f>
        <v>1435.12</v>
      </c>
      <c r="N74" s="27">
        <f>N62+N72+N67+N71+N73</f>
        <v>3155.0099999999998</v>
      </c>
      <c r="O74" s="31">
        <f>N74-M74</f>
        <v>1719.8899999999999</v>
      </c>
      <c r="P74" s="31">
        <f>N74/M74*100</f>
        <v>219.84293996320866</v>
      </c>
      <c r="Q74" s="31">
        <f>N74-8104.96</f>
        <v>-4949.950000000001</v>
      </c>
      <c r="R74" s="127">
        <f>N74/8104.96</f>
        <v>0.3892690401926721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562204.0100000001</v>
      </c>
      <c r="G75" s="44">
        <f>F75-E75</f>
        <v>16355.370000000112</v>
      </c>
      <c r="H75" s="45">
        <f>F75/E75*100</f>
        <v>102.99631963908531</v>
      </c>
      <c r="I75" s="31">
        <f>F75-D75</f>
        <v>-62923.05999999982</v>
      </c>
      <c r="J75" s="31">
        <f>F75/D75*100</f>
        <v>89.93435686603688</v>
      </c>
      <c r="K75" s="31">
        <f>K55+K74</f>
        <v>144169.748</v>
      </c>
      <c r="L75" s="31">
        <f>F75/(F75-K75)*100</f>
        <v>134.48754351144547</v>
      </c>
      <c r="M75" s="18">
        <f>M55+M74</f>
        <v>52110.560000000005</v>
      </c>
      <c r="N75" s="18">
        <f>N55+N74</f>
        <v>46646.52000000007</v>
      </c>
      <c r="O75" s="31">
        <f>N75-M75</f>
        <v>-5464.039999999935</v>
      </c>
      <c r="P75" s="31">
        <f>N75/M75*100</f>
        <v>89.51452450328699</v>
      </c>
      <c r="Q75" s="31">
        <f>N75-42872.96</f>
        <v>3773.5600000000704</v>
      </c>
      <c r="R75" s="127">
        <f>N75/42872.96</f>
        <v>1.0880172491006002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5</v>
      </c>
      <c r="D77" s="4" t="s">
        <v>118</v>
      </c>
    </row>
    <row r="78" spans="2:17" ht="31.5">
      <c r="B78" s="71" t="s">
        <v>154</v>
      </c>
      <c r="C78" s="34">
        <f>IF(O55&lt;0,ABS(O55/C77),0)</f>
        <v>1436.7859999999869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42300</v>
      </c>
      <c r="D79" s="34">
        <v>3534.5</v>
      </c>
      <c r="G79" s="4" t="s">
        <v>166</v>
      </c>
      <c r="N79" s="252"/>
      <c r="O79" s="252"/>
    </row>
    <row r="80" spans="3:15" ht="15.75">
      <c r="C80" s="111">
        <v>42299</v>
      </c>
      <c r="D80" s="34">
        <v>3547.2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42298</v>
      </c>
      <c r="D81" s="34">
        <v>1828.7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14.32664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2015-10-26T08:22:34Z</cp:lastPrinted>
  <dcterms:created xsi:type="dcterms:W3CDTF">2003-07-28T11:27:56Z</dcterms:created>
  <dcterms:modified xsi:type="dcterms:W3CDTF">2015-10-26T14:24:20Z</dcterms:modified>
  <cp:category/>
  <cp:version/>
  <cp:contentType/>
  <cp:contentStatus/>
</cp:coreProperties>
</file>